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944" windowHeight="9204" activeTab="0"/>
  </bookViews>
  <sheets>
    <sheet name="Factors" sheetId="1" r:id="rId1"/>
  </sheets>
  <definedNames/>
  <calcPr fullCalcOnLoad="1"/>
</workbook>
</file>

<file path=xl/sharedStrings.xml><?xml version="1.0" encoding="utf-8"?>
<sst xmlns="http://schemas.openxmlformats.org/spreadsheetml/2006/main" count="288" uniqueCount="39">
  <si>
    <t>Cup (US)</t>
  </si>
  <si>
    <t>Gal (US)</t>
  </si>
  <si>
    <t>Liter</t>
  </si>
  <si>
    <t>Milliliter</t>
  </si>
  <si>
    <t>Oz (US)</t>
  </si>
  <si>
    <t>Pt (US)</t>
  </si>
  <si>
    <t>Qt (US)</t>
  </si>
  <si>
    <t>To
Unit
&amp;
Factor</t>
  </si>
  <si>
    <t>Josh M.</t>
  </si>
  <si>
    <t>Glen B.</t>
  </si>
  <si>
    <t>N/A</t>
  </si>
  <si>
    <t>From Unit (1/4)</t>
  </si>
  <si>
    <t>From Unit (2/4)</t>
  </si>
  <si>
    <t>From Unit (3/4)</t>
  </si>
  <si>
    <t>Abs. Diff.</t>
  </si>
  <si>
    <t>1)</t>
  </si>
  <si>
    <t>Discrepancies (Abs. Diff.) are ignored if:</t>
  </si>
  <si>
    <t>2)</t>
  </si>
  <si>
    <t>Abs. Diff</t>
  </si>
  <si>
    <t>From Unit (4/4)</t>
  </si>
  <si>
    <t>the "Convert" value (Josh M.) equals the rounded calculated value (Glen B.) - OR</t>
  </si>
  <si>
    <t>the "Convert" value (Josh M.) has no more significant digits than the rounded calculated value (Glen B.)</t>
  </si>
  <si>
    <t>1 Liter = 1000 cubic centimeters</t>
  </si>
  <si>
    <t>Cup (UK)</t>
  </si>
  <si>
    <t>Gal (UK)</t>
  </si>
  <si>
    <t>Oz (UK)</t>
  </si>
  <si>
    <t>Pt (UK)</t>
  </si>
  <si>
    <t>Qt (UK)</t>
  </si>
  <si>
    <t>1 Inch = 2.54 centimeters (exactly)</t>
  </si>
  <si>
    <t>1 US Gallon = 231 cubic inches / 16.387064 cubic centimeters = 3.785411784 liters (exactly)</t>
  </si>
  <si>
    <t>1 US Gallon = 231 cubic inches = 4 quarts = 8 pints = 16 cups = 128 ounces = 3.785411784 liters (exactly)</t>
  </si>
  <si>
    <t>Derivation of Liters/US Gallon</t>
  </si>
  <si>
    <t>1 UK Gallon = liters per UK gallon / liters per US gallon = 4.54609 / 3.785411784 = 1.20094992550486 (approx.)</t>
  </si>
  <si>
    <t>1 US Gallon = liters per US gallon / liters per UK gallon = 3.785411784 / 4.54609 = 0.832674184628989 (approx.)</t>
  </si>
  <si>
    <t>* (Note: 4.546092 was used in the UK between 1976 and 1985. The 1985 Canadian value of 4.54609 is now used.)</t>
  </si>
  <si>
    <t>1 UK Gallon = volume of 10 # of water at 62 °F = 4 quarts = 8 pints = 20 cups = 160 ounces = 4.54609 liters (exactly)*</t>
  </si>
  <si>
    <t>Definitions</t>
  </si>
  <si>
    <t>UK/US Gallon Conversions</t>
  </si>
  <si>
    <t>1 cubic inch = 2.54^3 cubic centimeters = 16.387064 cubic centimeters (exactly)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</si>
</sst>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yyyy/mm/dd"/>
    <numFmt numFmtId="168" formatCode="0.0000000000"/>
    <numFmt numFmtId="169" formatCode="0.00000000000000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68" fontId="1" fillId="3" borderId="5" xfId="0" applyNumberFormat="1" applyFont="1" applyFill="1" applyBorder="1" applyAlignment="1">
      <alignment/>
    </xf>
    <xf numFmtId="168" fontId="5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8" fontId="1" fillId="4" borderId="5" xfId="0" applyNumberFormat="1" applyFont="1" applyFill="1" applyBorder="1" applyAlignment="1">
      <alignment/>
    </xf>
    <xf numFmtId="168" fontId="1" fillId="4" borderId="4" xfId="0" applyNumberFormat="1" applyFont="1" applyFill="1" applyBorder="1" applyAlignment="1">
      <alignment/>
    </xf>
    <xf numFmtId="168" fontId="5" fillId="3" borderId="9" xfId="0" applyNumberFormat="1" applyFont="1" applyFill="1" applyBorder="1" applyAlignment="1">
      <alignment horizontal="center"/>
    </xf>
    <xf numFmtId="168" fontId="5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8" fontId="1" fillId="3" borderId="14" xfId="0" applyNumberFormat="1" applyFont="1" applyFill="1" applyBorder="1" applyAlignment="1">
      <alignment/>
    </xf>
    <xf numFmtId="168" fontId="1" fillId="3" borderId="15" xfId="0" applyNumberFormat="1" applyFont="1" applyFill="1" applyBorder="1" applyAlignment="1">
      <alignment/>
    </xf>
    <xf numFmtId="168" fontId="1" fillId="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1" fillId="4" borderId="14" xfId="0" applyNumberFormat="1" applyFont="1" applyFill="1" applyBorder="1" applyAlignment="1">
      <alignment/>
    </xf>
    <xf numFmtId="168" fontId="1" fillId="4" borderId="10" xfId="0" applyNumberFormat="1" applyFont="1" applyFill="1" applyBorder="1" applyAlignment="1">
      <alignment/>
    </xf>
    <xf numFmtId="168" fontId="1" fillId="4" borderId="15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 horizontal="center"/>
    </xf>
    <xf numFmtId="168" fontId="1" fillId="3" borderId="2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8" fontId="1" fillId="3" borderId="14" xfId="0" applyNumberFormat="1" applyFont="1" applyFill="1" applyBorder="1" applyAlignment="1">
      <alignment/>
    </xf>
    <xf numFmtId="168" fontId="1" fillId="3" borderId="15" xfId="0" applyNumberFormat="1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168" fontId="1" fillId="4" borderId="14" xfId="0" applyNumberFormat="1" applyFont="1" applyFill="1" applyBorder="1" applyAlignment="1">
      <alignment/>
    </xf>
    <xf numFmtId="168" fontId="1" fillId="3" borderId="5" xfId="0" applyNumberFormat="1" applyFont="1" applyFill="1" applyBorder="1" applyAlignment="1">
      <alignment/>
    </xf>
    <xf numFmtId="168" fontId="1" fillId="3" borderId="10" xfId="0" applyNumberFormat="1" applyFont="1" applyFill="1" applyBorder="1" applyAlignment="1">
      <alignment/>
    </xf>
    <xf numFmtId="168" fontId="5" fillId="3" borderId="19" xfId="0" applyNumberFormat="1" applyFont="1" applyFill="1" applyBorder="1" applyAlignment="1">
      <alignment horizontal="center"/>
    </xf>
    <xf numFmtId="168" fontId="1" fillId="4" borderId="5" xfId="0" applyNumberFormat="1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168" fontId="5" fillId="3" borderId="21" xfId="0" applyNumberFormat="1" applyFont="1" applyFill="1" applyBorder="1" applyAlignment="1">
      <alignment horizontal="center"/>
    </xf>
    <xf numFmtId="168" fontId="1" fillId="3" borderId="22" xfId="0" applyNumberFormat="1" applyFont="1" applyFill="1" applyBorder="1" applyAlignment="1">
      <alignment/>
    </xf>
    <xf numFmtId="168" fontId="1" fillId="4" borderId="22" xfId="0" applyNumberFormat="1" applyFont="1" applyFill="1" applyBorder="1" applyAlignment="1">
      <alignment/>
    </xf>
    <xf numFmtId="168" fontId="5" fillId="3" borderId="22" xfId="0" applyNumberFormat="1" applyFont="1" applyFill="1" applyBorder="1" applyAlignment="1">
      <alignment horizontal="center"/>
    </xf>
    <xf numFmtId="168" fontId="1" fillId="3" borderId="23" xfId="0" applyNumberFormat="1" applyFont="1" applyFill="1" applyBorder="1" applyAlignment="1">
      <alignment/>
    </xf>
    <xf numFmtId="168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168" fontId="1" fillId="3" borderId="24" xfId="0" applyNumberFormat="1" applyFont="1" applyFill="1" applyBorder="1" applyAlignment="1">
      <alignment/>
    </xf>
    <xf numFmtId="168" fontId="1" fillId="4" borderId="24" xfId="0" applyNumberFormat="1" applyFont="1" applyFill="1" applyBorder="1" applyAlignment="1">
      <alignment/>
    </xf>
    <xf numFmtId="168" fontId="1" fillId="3" borderId="26" xfId="0" applyNumberFormat="1" applyFont="1" applyFill="1" applyBorder="1" applyAlignment="1">
      <alignment/>
    </xf>
    <xf numFmtId="168" fontId="5" fillId="3" borderId="27" xfId="0" applyNumberFormat="1" applyFont="1" applyFill="1" applyBorder="1" applyAlignment="1">
      <alignment horizontal="center"/>
    </xf>
    <xf numFmtId="168" fontId="5" fillId="3" borderId="24" xfId="0" applyNumberFormat="1" applyFont="1" applyFill="1" applyBorder="1" applyAlignment="1">
      <alignment horizontal="center"/>
    </xf>
    <xf numFmtId="168" fontId="5" fillId="3" borderId="26" xfId="0" applyNumberFormat="1" applyFont="1" applyFill="1" applyBorder="1" applyAlignment="1">
      <alignment horizontal="center"/>
    </xf>
    <xf numFmtId="168" fontId="1" fillId="4" borderId="24" xfId="0" applyNumberFormat="1" applyFont="1" applyFill="1" applyBorder="1" applyAlignment="1">
      <alignment/>
    </xf>
    <xf numFmtId="168" fontId="5" fillId="3" borderId="26" xfId="0" applyNumberFormat="1" applyFont="1" applyFill="1" applyBorder="1" applyAlignment="1">
      <alignment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168" fontId="1" fillId="3" borderId="30" xfId="0" applyNumberFormat="1" applyFont="1" applyFill="1" applyBorder="1" applyAlignment="1">
      <alignment/>
    </xf>
    <xf numFmtId="168" fontId="1" fillId="3" borderId="31" xfId="0" applyNumberFormat="1" applyFont="1" applyFill="1" applyBorder="1" applyAlignment="1">
      <alignment/>
    </xf>
    <xf numFmtId="168" fontId="1" fillId="3" borderId="32" xfId="0" applyNumberFormat="1" applyFont="1" applyFill="1" applyBorder="1" applyAlignment="1">
      <alignment/>
    </xf>
    <xf numFmtId="168" fontId="1" fillId="4" borderId="31" xfId="0" applyNumberFormat="1" applyFont="1" applyFill="1" applyBorder="1" applyAlignment="1">
      <alignment/>
    </xf>
    <xf numFmtId="168" fontId="1" fillId="4" borderId="33" xfId="0" applyNumberFormat="1" applyFont="1" applyFill="1" applyBorder="1" applyAlignment="1">
      <alignment/>
    </xf>
    <xf numFmtId="168" fontId="1" fillId="3" borderId="33" xfId="0" applyNumberFormat="1" applyFont="1" applyFill="1" applyBorder="1" applyAlignment="1">
      <alignment/>
    </xf>
    <xf numFmtId="168" fontId="1" fillId="4" borderId="34" xfId="0" applyNumberFormat="1" applyFont="1" applyFill="1" applyBorder="1" applyAlignment="1">
      <alignment/>
    </xf>
    <xf numFmtId="168" fontId="1" fillId="3" borderId="35" xfId="0" applyNumberFormat="1" applyFont="1" applyFill="1" applyBorder="1" applyAlignment="1">
      <alignment/>
    </xf>
    <xf numFmtId="168" fontId="5" fillId="3" borderId="36" xfId="0" applyNumberFormat="1" applyFont="1" applyFill="1" applyBorder="1" applyAlignment="1">
      <alignment horizontal="center"/>
    </xf>
    <xf numFmtId="168" fontId="5" fillId="3" borderId="14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168" fontId="1" fillId="3" borderId="34" xfId="0" applyNumberFormat="1" applyFont="1" applyFill="1" applyBorder="1" applyAlignment="1">
      <alignment/>
    </xf>
    <xf numFmtId="168" fontId="1" fillId="3" borderId="33" xfId="0" applyNumberFormat="1" applyFont="1" applyFill="1" applyBorder="1" applyAlignment="1">
      <alignment/>
    </xf>
    <xf numFmtId="168" fontId="1" fillId="4" borderId="33" xfId="0" applyNumberFormat="1" applyFont="1" applyFill="1" applyBorder="1" applyAlignment="1">
      <alignment/>
    </xf>
    <xf numFmtId="168" fontId="1" fillId="3" borderId="34" xfId="0" applyNumberFormat="1" applyFont="1" applyFill="1" applyBorder="1" applyAlignment="1">
      <alignment/>
    </xf>
    <xf numFmtId="168" fontId="1" fillId="3" borderId="31" xfId="0" applyNumberFormat="1" applyFont="1" applyFill="1" applyBorder="1" applyAlignment="1">
      <alignment/>
    </xf>
    <xf numFmtId="168" fontId="1" fillId="4" borderId="31" xfId="0" applyNumberFormat="1" applyFont="1" applyFill="1" applyBorder="1" applyAlignment="1">
      <alignment/>
    </xf>
    <xf numFmtId="168" fontId="1" fillId="3" borderId="30" xfId="0" applyNumberFormat="1" applyFont="1" applyFill="1" applyBorder="1" applyAlignment="1">
      <alignment/>
    </xf>
    <xf numFmtId="0" fontId="1" fillId="3" borderId="8" xfId="0" applyNumberFormat="1" applyFont="1" applyFill="1" applyBorder="1" applyAlignment="1">
      <alignment horizontal="center"/>
    </xf>
    <xf numFmtId="0" fontId="1" fillId="3" borderId="28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0" fillId="3" borderId="7" xfId="0" applyFill="1" applyBorder="1" applyAlignment="1">
      <alignment/>
    </xf>
    <xf numFmtId="168" fontId="1" fillId="3" borderId="35" xfId="0" applyNumberFormat="1" applyFont="1" applyFill="1" applyBorder="1" applyAlignment="1">
      <alignment/>
    </xf>
    <xf numFmtId="168" fontId="1" fillId="4" borderId="32" xfId="0" applyNumberFormat="1" applyFont="1" applyFill="1" applyBorder="1" applyAlignment="1">
      <alignment/>
    </xf>
    <xf numFmtId="168" fontId="1" fillId="3" borderId="32" xfId="0" applyNumberFormat="1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168" fontId="5" fillId="3" borderId="37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168" fontId="1" fillId="4" borderId="38" xfId="0" applyNumberFormat="1" applyFont="1" applyFill="1" applyBorder="1" applyAlignment="1">
      <alignment/>
    </xf>
    <xf numFmtId="168" fontId="1" fillId="3" borderId="39" xfId="0" applyNumberFormat="1" applyFont="1" applyFill="1" applyBorder="1" applyAlignment="1">
      <alignment/>
    </xf>
    <xf numFmtId="0" fontId="5" fillId="3" borderId="40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168" fontId="1" fillId="3" borderId="22" xfId="0" applyNumberFormat="1" applyFont="1" applyFill="1" applyBorder="1" applyAlignment="1">
      <alignment/>
    </xf>
    <xf numFmtId="168" fontId="1" fillId="3" borderId="39" xfId="0" applyNumberFormat="1" applyFont="1" applyFill="1" applyBorder="1" applyAlignment="1">
      <alignment/>
    </xf>
    <xf numFmtId="168" fontId="5" fillId="3" borderId="40" xfId="0" applyNumberFormat="1" applyFont="1" applyFill="1" applyBorder="1" applyAlignment="1">
      <alignment horizontal="center"/>
    </xf>
    <xf numFmtId="168" fontId="5" fillId="3" borderId="23" xfId="0" applyNumberFormat="1" applyFont="1" applyFill="1" applyBorder="1" applyAlignment="1">
      <alignment horizontal="center"/>
    </xf>
    <xf numFmtId="168" fontId="5" fillId="3" borderId="11" xfId="0" applyNumberFormat="1" applyFont="1" applyFill="1" applyBorder="1" applyAlignment="1">
      <alignment horizontal="center"/>
    </xf>
    <xf numFmtId="168" fontId="1" fillId="3" borderId="12" xfId="0" applyNumberFormat="1" applyFont="1" applyFill="1" applyBorder="1" applyAlignment="1">
      <alignment/>
    </xf>
    <xf numFmtId="168" fontId="5" fillId="3" borderId="13" xfId="0" applyNumberFormat="1" applyFont="1" applyFill="1" applyBorder="1" applyAlignment="1">
      <alignment horizontal="center"/>
    </xf>
    <xf numFmtId="168" fontId="1" fillId="4" borderId="22" xfId="0" applyNumberFormat="1" applyFont="1" applyFill="1" applyBorder="1" applyAlignment="1">
      <alignment/>
    </xf>
    <xf numFmtId="168" fontId="1" fillId="4" borderId="12" xfId="0" applyNumberFormat="1" applyFont="1" applyFill="1" applyBorder="1" applyAlignment="1">
      <alignment/>
    </xf>
    <xf numFmtId="0" fontId="1" fillId="4" borderId="41" xfId="0" applyFont="1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1" fillId="4" borderId="44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45" xfId="0" applyFill="1" applyBorder="1" applyAlignment="1">
      <alignment/>
    </xf>
    <xf numFmtId="0" fontId="1" fillId="4" borderId="46" xfId="0" applyFont="1" applyFill="1" applyBorder="1" applyAlignment="1">
      <alignment horizontal="right"/>
    </xf>
    <xf numFmtId="0" fontId="1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47" xfId="0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48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1" fillId="3" borderId="50" xfId="0" applyFont="1" applyFill="1" applyBorder="1" applyAlignment="1">
      <alignment horizontal="left"/>
    </xf>
    <xf numFmtId="0" fontId="1" fillId="3" borderId="51" xfId="0" applyFont="1" applyFill="1" applyBorder="1" applyAlignment="1">
      <alignment horizontal="left"/>
    </xf>
    <xf numFmtId="0" fontId="1" fillId="3" borderId="52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1" fillId="3" borderId="53" xfId="0" applyFont="1" applyFill="1" applyBorder="1" applyAlignment="1">
      <alignment horizontal="left"/>
    </xf>
    <xf numFmtId="0" fontId="1" fillId="3" borderId="54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5" borderId="55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3" borderId="56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48" xfId="0" applyNumberFormat="1" applyFont="1" applyFill="1" applyBorder="1" applyAlignment="1">
      <alignment horizontal="center"/>
    </xf>
    <xf numFmtId="0" fontId="3" fillId="3" borderId="25" xfId="0" applyNumberFormat="1" applyFont="1" applyFill="1" applyBorder="1" applyAlignment="1">
      <alignment horizontal="center"/>
    </xf>
    <xf numFmtId="0" fontId="3" fillId="3" borderId="16" xfId="0" applyNumberFormat="1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RowColHeaders="0" tabSelected="1" workbookViewId="0" topLeftCell="A1">
      <selection activeCell="A1" sqref="A1"/>
    </sheetView>
  </sheetViews>
  <sheetFormatPr defaultColWidth="9.33203125" defaultRowHeight="12.75" zeroHeight="1"/>
  <cols>
    <col min="1" max="1" width="1.83203125" style="0" customWidth="1"/>
    <col min="3" max="3" width="9.83203125" style="0" customWidth="1"/>
    <col min="4" max="5" width="15.83203125" style="0" customWidth="1"/>
    <col min="6" max="6" width="12.83203125" style="0" customWidth="1"/>
    <col min="7" max="7" width="9.83203125" style="0" customWidth="1"/>
    <col min="8" max="9" width="15.83203125" style="0" customWidth="1"/>
    <col min="10" max="10" width="12.83203125" style="0" customWidth="1"/>
    <col min="11" max="11" width="9.83203125" style="0" customWidth="1"/>
    <col min="12" max="13" width="15.83203125" style="0" customWidth="1"/>
    <col min="14" max="14" width="12.83203125" style="0" customWidth="1"/>
    <col min="15" max="15" width="1.83203125" style="0" customWidth="1"/>
    <col min="16" max="16384" width="0" style="0" hidden="1" customWidth="1"/>
  </cols>
  <sheetData>
    <row r="1" spans="1:15" ht="13.5" thickBot="1">
      <c r="A1" s="1"/>
      <c r="B1" s="1"/>
      <c r="C1" s="1"/>
      <c r="D1" s="1"/>
      <c r="E1" s="1"/>
      <c r="F1" s="1"/>
      <c r="G1" s="1"/>
      <c r="H1" s="1"/>
      <c r="I1" s="1"/>
      <c r="J1" s="112"/>
      <c r="K1" s="112"/>
      <c r="L1" s="112"/>
      <c r="M1" s="112"/>
      <c r="N1" s="112"/>
      <c r="O1" s="112"/>
    </row>
    <row r="2" spans="1:15" ht="15.75" thickBot="1">
      <c r="A2" s="1"/>
      <c r="B2" s="115" t="s">
        <v>36</v>
      </c>
      <c r="C2" s="116"/>
      <c r="D2" s="116"/>
      <c r="E2" s="116"/>
      <c r="F2" s="116"/>
      <c r="G2" s="116"/>
      <c r="H2" s="116"/>
      <c r="I2" s="117"/>
      <c r="J2" s="112"/>
      <c r="K2" s="112"/>
      <c r="L2" s="112"/>
      <c r="M2" s="112"/>
      <c r="N2" s="112"/>
      <c r="O2" s="112"/>
    </row>
    <row r="3" spans="1:15" ht="12.75">
      <c r="A3" s="1"/>
      <c r="B3" s="118" t="s">
        <v>35</v>
      </c>
      <c r="C3" s="119"/>
      <c r="D3" s="119"/>
      <c r="E3" s="119"/>
      <c r="F3" s="119"/>
      <c r="G3" s="119"/>
      <c r="H3" s="119"/>
      <c r="I3" s="120"/>
      <c r="J3" s="112"/>
      <c r="K3" s="112"/>
      <c r="L3" s="112"/>
      <c r="M3" s="112"/>
      <c r="N3" s="112"/>
      <c r="O3" s="112"/>
    </row>
    <row r="4" spans="1:15" ht="12.75">
      <c r="A4" s="1"/>
      <c r="B4" s="127" t="s">
        <v>34</v>
      </c>
      <c r="C4" s="128"/>
      <c r="D4" s="128"/>
      <c r="E4" s="128"/>
      <c r="F4" s="128"/>
      <c r="G4" s="128"/>
      <c r="H4" s="128"/>
      <c r="I4" s="129"/>
      <c r="J4" s="1"/>
      <c r="K4" s="1"/>
      <c r="L4" s="1"/>
      <c r="M4" s="1"/>
      <c r="N4" s="1"/>
      <c r="O4" s="1"/>
    </row>
    <row r="5" spans="1:15" ht="12.75">
      <c r="A5" s="1"/>
      <c r="B5" s="121" t="s">
        <v>30</v>
      </c>
      <c r="C5" s="122"/>
      <c r="D5" s="122"/>
      <c r="E5" s="122"/>
      <c r="F5" s="122"/>
      <c r="G5" s="122"/>
      <c r="H5" s="122"/>
      <c r="I5" s="123"/>
      <c r="J5" s="112"/>
      <c r="K5" s="112"/>
      <c r="L5" s="112"/>
      <c r="M5" s="112"/>
      <c r="N5" s="112"/>
      <c r="O5" s="112"/>
    </row>
    <row r="6" spans="1:15" ht="12.75">
      <c r="A6" s="1"/>
      <c r="B6" s="124" t="s">
        <v>22</v>
      </c>
      <c r="C6" s="125"/>
      <c r="D6" s="125"/>
      <c r="E6" s="125"/>
      <c r="F6" s="125"/>
      <c r="G6" s="125"/>
      <c r="H6" s="125"/>
      <c r="I6" s="126"/>
      <c r="J6" s="112"/>
      <c r="K6" s="112"/>
      <c r="L6" s="112"/>
      <c r="M6" s="112"/>
      <c r="N6" s="112"/>
      <c r="O6" s="112"/>
    </row>
    <row r="7" spans="1:15" ht="13.5" thickBot="1">
      <c r="A7" s="1"/>
      <c r="B7" s="133" t="s">
        <v>28</v>
      </c>
      <c r="C7" s="134"/>
      <c r="D7" s="134"/>
      <c r="E7" s="134"/>
      <c r="F7" s="134"/>
      <c r="G7" s="134"/>
      <c r="H7" s="134"/>
      <c r="I7" s="135"/>
      <c r="J7" s="112"/>
      <c r="K7" s="112"/>
      <c r="L7" s="112"/>
      <c r="M7" s="112"/>
      <c r="N7" s="112"/>
      <c r="O7" s="112"/>
    </row>
    <row r="8" spans="1:15" ht="12.75" customHeight="1" thickBot="1">
      <c r="A8" s="1"/>
      <c r="B8" s="1"/>
      <c r="C8" s="1"/>
      <c r="D8" s="1"/>
      <c r="E8" s="1"/>
      <c r="F8" s="1"/>
      <c r="G8" s="1"/>
      <c r="H8" s="1"/>
      <c r="I8" s="1"/>
      <c r="J8" s="112"/>
      <c r="K8" s="112"/>
      <c r="L8" s="112"/>
      <c r="M8" s="112"/>
      <c r="N8" s="112"/>
      <c r="O8" s="112"/>
    </row>
    <row r="9" spans="1:15" ht="15.75" thickBot="1">
      <c r="A9" s="1"/>
      <c r="B9" s="154" t="s">
        <v>31</v>
      </c>
      <c r="C9" s="155"/>
      <c r="D9" s="155"/>
      <c r="E9" s="155"/>
      <c r="F9" s="155"/>
      <c r="G9" s="155"/>
      <c r="H9" s="155"/>
      <c r="I9" s="156"/>
      <c r="J9" s="112"/>
      <c r="K9" s="112"/>
      <c r="L9" s="112"/>
      <c r="M9" s="112"/>
      <c r="N9" s="112"/>
      <c r="O9" s="112"/>
    </row>
    <row r="10" spans="1:15" ht="12.75">
      <c r="A10" s="1"/>
      <c r="B10" s="130" t="s">
        <v>38</v>
      </c>
      <c r="C10" s="131"/>
      <c r="D10" s="131"/>
      <c r="E10" s="131"/>
      <c r="F10" s="131"/>
      <c r="G10" s="131"/>
      <c r="H10" s="131"/>
      <c r="I10" s="132"/>
      <c r="J10" s="112"/>
      <c r="K10" s="112"/>
      <c r="L10" s="112"/>
      <c r="M10" s="112"/>
      <c r="N10" s="112"/>
      <c r="O10" s="112"/>
    </row>
    <row r="11" spans="1:15" ht="13.5" thickBot="1">
      <c r="A11" s="1"/>
      <c r="B11" s="133" t="s">
        <v>29</v>
      </c>
      <c r="C11" s="134"/>
      <c r="D11" s="134"/>
      <c r="E11" s="134"/>
      <c r="F11" s="134"/>
      <c r="G11" s="134"/>
      <c r="H11" s="134"/>
      <c r="I11" s="135"/>
      <c r="J11" s="112"/>
      <c r="K11" s="112"/>
      <c r="L11" s="112"/>
      <c r="M11" s="112"/>
      <c r="N11" s="112"/>
      <c r="O11" s="112"/>
    </row>
    <row r="12" spans="1:15" ht="12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12"/>
      <c r="K12" s="112"/>
      <c r="L12" s="112"/>
      <c r="M12" s="112"/>
      <c r="N12" s="112"/>
      <c r="O12" s="112"/>
    </row>
    <row r="13" spans="1:15" ht="15.75" customHeight="1" thickBot="1">
      <c r="A13" s="1"/>
      <c r="B13" s="115" t="s">
        <v>37</v>
      </c>
      <c r="C13" s="116"/>
      <c r="D13" s="116"/>
      <c r="E13" s="116"/>
      <c r="F13" s="116"/>
      <c r="G13" s="116"/>
      <c r="H13" s="116"/>
      <c r="I13" s="117"/>
      <c r="J13" s="112"/>
      <c r="K13" s="112"/>
      <c r="L13" s="112"/>
      <c r="M13" s="112"/>
      <c r="N13" s="112"/>
      <c r="O13" s="112"/>
    </row>
    <row r="14" spans="1:15" ht="12.75" customHeight="1">
      <c r="A14" s="1"/>
      <c r="B14" s="130" t="s">
        <v>32</v>
      </c>
      <c r="C14" s="131"/>
      <c r="D14" s="131"/>
      <c r="E14" s="131"/>
      <c r="F14" s="131"/>
      <c r="G14" s="131"/>
      <c r="H14" s="131"/>
      <c r="I14" s="132"/>
      <c r="J14" s="112"/>
      <c r="K14" s="112"/>
      <c r="L14" s="112"/>
      <c r="M14" s="112"/>
      <c r="N14" s="112"/>
      <c r="O14" s="112"/>
    </row>
    <row r="15" spans="1:15" ht="12.75" customHeight="1" thickBot="1">
      <c r="A15" s="1"/>
      <c r="B15" s="133" t="s">
        <v>33</v>
      </c>
      <c r="C15" s="134"/>
      <c r="D15" s="134"/>
      <c r="E15" s="134"/>
      <c r="F15" s="134"/>
      <c r="G15" s="134"/>
      <c r="H15" s="134"/>
      <c r="I15" s="135"/>
      <c r="J15" s="112"/>
      <c r="K15" s="112"/>
      <c r="L15" s="112"/>
      <c r="M15" s="112"/>
      <c r="N15" s="112"/>
      <c r="O15" s="112"/>
    </row>
    <row r="16" spans="1:15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01" t="s">
        <v>16</v>
      </c>
      <c r="C17" s="102"/>
      <c r="D17" s="102"/>
      <c r="E17" s="102"/>
      <c r="F17" s="102"/>
      <c r="G17" s="102"/>
      <c r="H17" s="102"/>
      <c r="I17" s="103"/>
      <c r="J17" s="1"/>
      <c r="K17" s="1"/>
      <c r="L17" s="1"/>
      <c r="M17" s="1"/>
      <c r="N17" s="1"/>
      <c r="O17" s="1"/>
    </row>
    <row r="18" spans="1:15" ht="12.75">
      <c r="A18" s="1"/>
      <c r="B18" s="104" t="s">
        <v>15</v>
      </c>
      <c r="C18" s="105" t="s">
        <v>20</v>
      </c>
      <c r="D18" s="106"/>
      <c r="E18" s="106"/>
      <c r="F18" s="106"/>
      <c r="G18" s="106"/>
      <c r="H18" s="106"/>
      <c r="I18" s="107"/>
      <c r="J18" s="1"/>
      <c r="K18" s="1"/>
      <c r="L18" s="1"/>
      <c r="M18" s="1"/>
      <c r="N18" s="1"/>
      <c r="O18" s="1"/>
    </row>
    <row r="19" spans="1:15" ht="13.5" thickBot="1">
      <c r="A19" s="1"/>
      <c r="B19" s="108" t="s">
        <v>17</v>
      </c>
      <c r="C19" s="109" t="s">
        <v>21</v>
      </c>
      <c r="D19" s="110"/>
      <c r="E19" s="110"/>
      <c r="F19" s="110"/>
      <c r="G19" s="110"/>
      <c r="H19" s="110"/>
      <c r="I19" s="111"/>
      <c r="J19" s="1"/>
      <c r="K19" s="1"/>
      <c r="L19" s="1"/>
      <c r="M19" s="1"/>
      <c r="N19" s="1"/>
      <c r="O19" s="1"/>
    </row>
    <row r="20" spans="1:15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" thickBot="1">
      <c r="A21" s="1"/>
      <c r="B21" s="1"/>
      <c r="C21" s="136" t="s">
        <v>11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8"/>
      <c r="O21" s="113"/>
    </row>
    <row r="22" spans="1:15" ht="15.75" thickBot="1">
      <c r="A22" s="1"/>
      <c r="B22" s="1"/>
      <c r="C22" s="115" t="s">
        <v>23</v>
      </c>
      <c r="D22" s="116"/>
      <c r="E22" s="116"/>
      <c r="F22" s="35"/>
      <c r="G22" s="115" t="s">
        <v>0</v>
      </c>
      <c r="H22" s="116"/>
      <c r="I22" s="116"/>
      <c r="J22" s="35"/>
      <c r="K22" s="115" t="s">
        <v>24</v>
      </c>
      <c r="L22" s="116"/>
      <c r="M22" s="116"/>
      <c r="N22" s="117"/>
      <c r="O22" s="1"/>
    </row>
    <row r="23" spans="1:15" s="7" customFormat="1" ht="12.75" customHeight="1" thickBot="1">
      <c r="A23" s="2"/>
      <c r="B23" s="2"/>
      <c r="C23" s="11"/>
      <c r="D23" s="12" t="s">
        <v>8</v>
      </c>
      <c r="E23" s="58" t="s">
        <v>9</v>
      </c>
      <c r="F23" s="30" t="s">
        <v>14</v>
      </c>
      <c r="G23" s="11"/>
      <c r="H23" s="12" t="s">
        <v>8</v>
      </c>
      <c r="I23" s="58" t="s">
        <v>9</v>
      </c>
      <c r="J23" s="30" t="s">
        <v>14</v>
      </c>
      <c r="K23" s="11"/>
      <c r="L23" s="12" t="s">
        <v>8</v>
      </c>
      <c r="M23" s="57" t="s">
        <v>9</v>
      </c>
      <c r="N23" s="32" t="s">
        <v>14</v>
      </c>
      <c r="O23" s="114"/>
    </row>
    <row r="24" spans="1:15" ht="12.75">
      <c r="A24" s="1"/>
      <c r="B24" s="142" t="s">
        <v>7</v>
      </c>
      <c r="C24" s="10" t="s">
        <v>0</v>
      </c>
      <c r="D24" s="15" t="s">
        <v>10</v>
      </c>
      <c r="E24" s="59">
        <f>(4*4.54609)/(5*3.785411784)</f>
        <v>0.960759940403884</v>
      </c>
      <c r="F24" s="52" t="s">
        <v>10</v>
      </c>
      <c r="G24" s="3" t="s">
        <v>23</v>
      </c>
      <c r="H24" s="15" t="s">
        <v>10</v>
      </c>
      <c r="I24" s="59">
        <f>(1.25*3.785411784)/4.54609</f>
        <v>1.040842730786236</v>
      </c>
      <c r="J24" s="52" t="s">
        <v>10</v>
      </c>
      <c r="K24" s="3" t="s">
        <v>23</v>
      </c>
      <c r="L24" s="39" t="s">
        <v>10</v>
      </c>
      <c r="M24" s="66">
        <v>20</v>
      </c>
      <c r="N24" s="67" t="s">
        <v>10</v>
      </c>
      <c r="O24" s="1"/>
    </row>
    <row r="25" spans="1:15" ht="12.75">
      <c r="A25" s="1"/>
      <c r="B25" s="143"/>
      <c r="C25" s="4" t="s">
        <v>24</v>
      </c>
      <c r="D25" s="9" t="s">
        <v>10</v>
      </c>
      <c r="E25" s="60">
        <f>1/20</f>
        <v>0.05</v>
      </c>
      <c r="F25" s="53" t="s">
        <v>10</v>
      </c>
      <c r="G25" s="4" t="s">
        <v>24</v>
      </c>
      <c r="H25" s="13">
        <v>0.05204211</v>
      </c>
      <c r="I25" s="62">
        <f>3.785411784/(16*4.54609)</f>
        <v>0.0520421365393118</v>
      </c>
      <c r="J25" s="55">
        <f>ABS(H25-I25)</f>
        <v>2.653931179680269E-08</v>
      </c>
      <c r="K25" s="4" t="s">
        <v>0</v>
      </c>
      <c r="L25" s="13">
        <v>19.21521</v>
      </c>
      <c r="M25" s="63">
        <f>(16*4.54609)/3.785411784</f>
        <v>19.21519880807768</v>
      </c>
      <c r="N25" s="24">
        <f>ABS(L25-M25)</f>
        <v>1.1191922318687375E-05</v>
      </c>
      <c r="O25" s="1"/>
    </row>
    <row r="26" spans="1:15" ht="12.75">
      <c r="A26" s="1"/>
      <c r="B26" s="143"/>
      <c r="C26" s="4" t="s">
        <v>1</v>
      </c>
      <c r="D26" s="9" t="s">
        <v>10</v>
      </c>
      <c r="E26" s="60">
        <f>4.54609/(20*3.785411784)</f>
        <v>0.06004749627524275</v>
      </c>
      <c r="F26" s="53" t="s">
        <v>10</v>
      </c>
      <c r="G26" s="4" t="s">
        <v>1</v>
      </c>
      <c r="H26" s="8">
        <v>0.0625</v>
      </c>
      <c r="I26" s="60">
        <f>1/16</f>
        <v>0.0625</v>
      </c>
      <c r="J26" s="47">
        <f aca="true" t="shared" si="0" ref="J26:J32">ABS(H26-I26)</f>
        <v>0</v>
      </c>
      <c r="K26" s="4" t="s">
        <v>1</v>
      </c>
      <c r="L26" s="8">
        <v>1.20095</v>
      </c>
      <c r="M26" s="64">
        <f>4.54609/3.785411784</f>
        <v>1.200949925504855</v>
      </c>
      <c r="N26" s="20">
        <f aca="true" t="shared" si="1" ref="N26:N34">ABS(L26-M26)</f>
        <v>7.449514494162202E-08</v>
      </c>
      <c r="O26" s="1"/>
    </row>
    <row r="27" spans="1:15" ht="12.75">
      <c r="A27" s="1"/>
      <c r="B27" s="143"/>
      <c r="C27" s="4" t="s">
        <v>2</v>
      </c>
      <c r="D27" s="9" t="s">
        <v>10</v>
      </c>
      <c r="E27" s="60">
        <f>4.54609/20</f>
        <v>0.22730450000000002</v>
      </c>
      <c r="F27" s="53" t="s">
        <v>10</v>
      </c>
      <c r="G27" s="4" t="s">
        <v>2</v>
      </c>
      <c r="H27" s="8">
        <v>0.2365882</v>
      </c>
      <c r="I27" s="60">
        <f>3.785411784/16</f>
        <v>0.2365882365</v>
      </c>
      <c r="J27" s="47">
        <f t="shared" si="0"/>
        <v>3.64999999946658E-08</v>
      </c>
      <c r="K27" s="4" t="s">
        <v>2</v>
      </c>
      <c r="L27" s="13">
        <v>4.546092</v>
      </c>
      <c r="M27" s="63">
        <v>4.54609</v>
      </c>
      <c r="N27" s="24">
        <f t="shared" si="1"/>
        <v>1.9999999993913775E-06</v>
      </c>
      <c r="O27" s="1"/>
    </row>
    <row r="28" spans="1:15" ht="12.75">
      <c r="A28" s="1"/>
      <c r="B28" s="143"/>
      <c r="C28" s="4" t="s">
        <v>3</v>
      </c>
      <c r="D28" s="9" t="s">
        <v>10</v>
      </c>
      <c r="E28" s="60">
        <f>4.54609*50</f>
        <v>227.30450000000002</v>
      </c>
      <c r="F28" s="53" t="s">
        <v>10</v>
      </c>
      <c r="G28" s="4" t="s">
        <v>3</v>
      </c>
      <c r="H28" s="8">
        <v>236.5882</v>
      </c>
      <c r="I28" s="60">
        <f>3.785411784*62.5</f>
        <v>236.5882365</v>
      </c>
      <c r="J28" s="47">
        <f t="shared" si="0"/>
        <v>3.649999999311149E-05</v>
      </c>
      <c r="K28" s="4" t="s">
        <v>3</v>
      </c>
      <c r="L28" s="13">
        <v>4546.092</v>
      </c>
      <c r="M28" s="63">
        <v>4546.09</v>
      </c>
      <c r="N28" s="24">
        <f t="shared" si="1"/>
        <v>0.001999999999497959</v>
      </c>
      <c r="O28" s="1"/>
    </row>
    <row r="29" spans="1:15" ht="12.75">
      <c r="A29" s="1"/>
      <c r="B29" s="143"/>
      <c r="C29" s="4" t="s">
        <v>25</v>
      </c>
      <c r="D29" s="9" t="s">
        <v>10</v>
      </c>
      <c r="E29" s="60">
        <v>8</v>
      </c>
      <c r="F29" s="53" t="s">
        <v>10</v>
      </c>
      <c r="G29" s="4" t="s">
        <v>25</v>
      </c>
      <c r="H29" s="13">
        <v>8.326738</v>
      </c>
      <c r="I29" s="62">
        <f>(10*3.785411784)/4.54609</f>
        <v>8.326741846289888</v>
      </c>
      <c r="J29" s="55">
        <f t="shared" si="0"/>
        <v>3.846289887476928E-06</v>
      </c>
      <c r="K29" s="4" t="s">
        <v>25</v>
      </c>
      <c r="L29" s="8">
        <v>160</v>
      </c>
      <c r="M29" s="64">
        <v>160</v>
      </c>
      <c r="N29" s="20">
        <f t="shared" si="1"/>
        <v>0</v>
      </c>
      <c r="O29" s="1"/>
    </row>
    <row r="30" spans="1:15" ht="12.75">
      <c r="A30" s="1"/>
      <c r="B30" s="143"/>
      <c r="C30" s="4" t="s">
        <v>4</v>
      </c>
      <c r="D30" s="9" t="s">
        <v>10</v>
      </c>
      <c r="E30" s="60">
        <f>(6.4*4.54609)/3.785411784</f>
        <v>7.686079523231072</v>
      </c>
      <c r="F30" s="53" t="s">
        <v>10</v>
      </c>
      <c r="G30" s="4" t="s">
        <v>4</v>
      </c>
      <c r="H30" s="8">
        <v>8</v>
      </c>
      <c r="I30" s="60">
        <v>8</v>
      </c>
      <c r="J30" s="47">
        <f t="shared" si="0"/>
        <v>0</v>
      </c>
      <c r="K30" s="4" t="s">
        <v>4</v>
      </c>
      <c r="L30" s="13">
        <v>153.7217</v>
      </c>
      <c r="M30" s="63">
        <f>(128*4.54609)/3.785411784</f>
        <v>153.72159046462144</v>
      </c>
      <c r="N30" s="24">
        <f t="shared" si="1"/>
        <v>0.00010953537855584727</v>
      </c>
      <c r="O30" s="1"/>
    </row>
    <row r="31" spans="1:15" ht="12.75">
      <c r="A31" s="1"/>
      <c r="B31" s="143"/>
      <c r="C31" s="4" t="s">
        <v>26</v>
      </c>
      <c r="D31" s="9" t="s">
        <v>10</v>
      </c>
      <c r="E31" s="60">
        <f>1/2.5</f>
        <v>0.4</v>
      </c>
      <c r="F31" s="53" t="s">
        <v>10</v>
      </c>
      <c r="G31" s="4" t="s">
        <v>26</v>
      </c>
      <c r="H31" s="13">
        <v>0.4163373</v>
      </c>
      <c r="I31" s="62">
        <f>3.785411784/(2*4.54609)</f>
        <v>0.4163370923144944</v>
      </c>
      <c r="J31" s="55">
        <f t="shared" si="0"/>
        <v>2.0768550562655363E-07</v>
      </c>
      <c r="K31" s="4" t="s">
        <v>26</v>
      </c>
      <c r="L31" s="8">
        <v>8</v>
      </c>
      <c r="M31" s="64">
        <v>8</v>
      </c>
      <c r="N31" s="20">
        <f t="shared" si="1"/>
        <v>0</v>
      </c>
      <c r="O31" s="1"/>
    </row>
    <row r="32" spans="1:15" ht="12.75">
      <c r="A32" s="1"/>
      <c r="B32" s="143"/>
      <c r="C32" s="4" t="s">
        <v>5</v>
      </c>
      <c r="D32" s="9" t="s">
        <v>10</v>
      </c>
      <c r="E32" s="60">
        <f>(2*4.54609)/(5*3.785411784)</f>
        <v>0.480379970201942</v>
      </c>
      <c r="F32" s="53" t="s">
        <v>10</v>
      </c>
      <c r="G32" s="4" t="s">
        <v>5</v>
      </c>
      <c r="H32" s="8">
        <v>0.5</v>
      </c>
      <c r="I32" s="60">
        <f>1/2</f>
        <v>0.5</v>
      </c>
      <c r="J32" s="47">
        <f t="shared" si="0"/>
        <v>0</v>
      </c>
      <c r="K32" s="4" t="s">
        <v>5</v>
      </c>
      <c r="L32" s="13">
        <v>9.607604</v>
      </c>
      <c r="M32" s="63">
        <f>(8*4.54609)/3.785411784</f>
        <v>9.60759940403884</v>
      </c>
      <c r="N32" s="24">
        <f t="shared" si="1"/>
        <v>4.595961160092088E-06</v>
      </c>
      <c r="O32" s="1"/>
    </row>
    <row r="33" spans="1:15" ht="12.75">
      <c r="A33" s="1"/>
      <c r="B33" s="143"/>
      <c r="C33" s="4" t="s">
        <v>27</v>
      </c>
      <c r="D33" s="9" t="s">
        <v>10</v>
      </c>
      <c r="E33" s="60">
        <f>1/5</f>
        <v>0.2</v>
      </c>
      <c r="F33" s="53" t="s">
        <v>10</v>
      </c>
      <c r="G33" s="4" t="s">
        <v>27</v>
      </c>
      <c r="H33" s="9" t="s">
        <v>10</v>
      </c>
      <c r="I33" s="60">
        <f>3.785411784/(4*4.54609)</f>
        <v>0.2081685461572472</v>
      </c>
      <c r="J33" s="53" t="s">
        <v>10</v>
      </c>
      <c r="K33" s="4" t="s">
        <v>27</v>
      </c>
      <c r="L33" s="9" t="s">
        <v>10</v>
      </c>
      <c r="M33" s="64">
        <v>4</v>
      </c>
      <c r="N33" s="68" t="s">
        <v>10</v>
      </c>
      <c r="O33" s="1"/>
    </row>
    <row r="34" spans="1:15" ht="13.5" thickBot="1">
      <c r="A34" s="1"/>
      <c r="B34" s="144"/>
      <c r="C34" s="5" t="s">
        <v>6</v>
      </c>
      <c r="D34" s="16" t="s">
        <v>10</v>
      </c>
      <c r="E34" s="61">
        <f>4.54609/(5*3.785411784)</f>
        <v>0.240189985100971</v>
      </c>
      <c r="F34" s="54" t="s">
        <v>10</v>
      </c>
      <c r="G34" s="5" t="s">
        <v>6</v>
      </c>
      <c r="H34" s="22">
        <v>0.25</v>
      </c>
      <c r="I34" s="61">
        <f>1/4</f>
        <v>0.25</v>
      </c>
      <c r="J34" s="56"/>
      <c r="K34" s="5" t="s">
        <v>6</v>
      </c>
      <c r="L34" s="25">
        <v>4.803802</v>
      </c>
      <c r="M34" s="65">
        <f>(4*4.54609)/3.785411784</f>
        <v>4.80379970201942</v>
      </c>
      <c r="N34" s="26">
        <f t="shared" si="1"/>
        <v>2.297980580046044E-06</v>
      </c>
      <c r="O34" s="1"/>
    </row>
    <row r="35" spans="1:15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" customHeight="1" thickBot="1">
      <c r="A36" s="1"/>
      <c r="B36" s="1"/>
      <c r="C36" s="136" t="s">
        <v>12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8"/>
      <c r="O36" s="1"/>
    </row>
    <row r="37" spans="1:15" ht="15.75" customHeight="1" thickBot="1">
      <c r="A37" s="1"/>
      <c r="B37" s="1"/>
      <c r="C37" s="115" t="s">
        <v>1</v>
      </c>
      <c r="D37" s="116"/>
      <c r="E37" s="116"/>
      <c r="F37" s="117"/>
      <c r="G37" s="148" t="s">
        <v>2</v>
      </c>
      <c r="H37" s="149"/>
      <c r="I37" s="149"/>
      <c r="J37" s="150"/>
      <c r="K37" s="115" t="s">
        <v>3</v>
      </c>
      <c r="L37" s="116"/>
      <c r="M37" s="116"/>
      <c r="N37" s="117"/>
      <c r="O37" s="1"/>
    </row>
    <row r="38" spans="1:15" ht="13.5" thickBot="1">
      <c r="A38" s="1"/>
      <c r="B38" s="1"/>
      <c r="C38" s="11"/>
      <c r="D38" s="41" t="s">
        <v>8</v>
      </c>
      <c r="E38" s="58" t="s">
        <v>9</v>
      </c>
      <c r="F38" s="48" t="s">
        <v>18</v>
      </c>
      <c r="G38" s="11"/>
      <c r="H38" s="77" t="s">
        <v>8</v>
      </c>
      <c r="I38" s="78" t="s">
        <v>9</v>
      </c>
      <c r="J38" s="79" t="s">
        <v>14</v>
      </c>
      <c r="K38" s="80"/>
      <c r="L38" s="31" t="s">
        <v>8</v>
      </c>
      <c r="M38" s="69" t="s">
        <v>9</v>
      </c>
      <c r="N38" s="32" t="s">
        <v>14</v>
      </c>
      <c r="O38" s="1"/>
    </row>
    <row r="39" spans="1:15" ht="12.75">
      <c r="A39" s="1"/>
      <c r="B39" s="145" t="s">
        <v>7</v>
      </c>
      <c r="C39" s="10" t="s">
        <v>23</v>
      </c>
      <c r="D39" s="42" t="s">
        <v>10</v>
      </c>
      <c r="E39" s="76">
        <f>(20*3.785411784)/4.54609</f>
        <v>16.653483692579776</v>
      </c>
      <c r="F39" s="52" t="s">
        <v>10</v>
      </c>
      <c r="G39" s="27" t="s">
        <v>23</v>
      </c>
      <c r="H39" s="39" t="s">
        <v>10</v>
      </c>
      <c r="I39" s="81">
        <f>20/4.54609</f>
        <v>4.399384965981755</v>
      </c>
      <c r="J39" s="67" t="s">
        <v>10</v>
      </c>
      <c r="K39" s="17" t="s">
        <v>23</v>
      </c>
      <c r="L39" s="39" t="s">
        <v>10</v>
      </c>
      <c r="M39" s="66">
        <f>20/(4.54609*1000)</f>
        <v>0.004399384965981756</v>
      </c>
      <c r="N39" s="67" t="s">
        <v>10</v>
      </c>
      <c r="O39" s="1"/>
    </row>
    <row r="40" spans="1:15" ht="12.75">
      <c r="A40" s="1"/>
      <c r="B40" s="146"/>
      <c r="C40" s="4" t="s">
        <v>0</v>
      </c>
      <c r="D40" s="43">
        <v>16</v>
      </c>
      <c r="E40" s="74">
        <v>16</v>
      </c>
      <c r="F40" s="49">
        <f>ABS(D40-E40)</f>
        <v>0</v>
      </c>
      <c r="G40" s="28" t="s">
        <v>0</v>
      </c>
      <c r="H40" s="8">
        <v>4.226753</v>
      </c>
      <c r="I40" s="71">
        <f>16/3.785411784</f>
        <v>4.226752837730375</v>
      </c>
      <c r="J40" s="33">
        <f>ABS(H40-I40)</f>
        <v>1.622696252923106E-07</v>
      </c>
      <c r="K40" s="18" t="s">
        <v>0</v>
      </c>
      <c r="L40" s="37">
        <v>0.004226753</v>
      </c>
      <c r="M40" s="64">
        <f>16/(3.785411784*1000)</f>
        <v>0.004226752837730375</v>
      </c>
      <c r="N40" s="20">
        <f>ABS(L40-M40)</f>
        <v>1.622696248204658E-10</v>
      </c>
      <c r="O40" s="1"/>
    </row>
    <row r="41" spans="1:15" ht="12.75">
      <c r="A41" s="1"/>
      <c r="B41" s="146"/>
      <c r="C41" s="4" t="s">
        <v>24</v>
      </c>
      <c r="D41" s="44">
        <v>0.8326738</v>
      </c>
      <c r="E41" s="75">
        <f>3.785411784/4.54609</f>
        <v>0.8326741846289888</v>
      </c>
      <c r="F41" s="50">
        <f aca="true" t="shared" si="2" ref="F41:F47">ABS(D41-E41)</f>
        <v>3.8462898876989726E-07</v>
      </c>
      <c r="G41" s="28" t="s">
        <v>24</v>
      </c>
      <c r="H41" s="8">
        <v>0.2199692</v>
      </c>
      <c r="I41" s="71">
        <f>1/4.54609</f>
        <v>0.21996924829908776</v>
      </c>
      <c r="J41" s="33">
        <f aca="true" t="shared" si="3" ref="J41:J49">ABS(H41-I41)</f>
        <v>4.829908775705327E-08</v>
      </c>
      <c r="K41" s="18" t="s">
        <v>24</v>
      </c>
      <c r="L41" s="37">
        <v>0.0002199692</v>
      </c>
      <c r="M41" s="64">
        <f>1/4546.09</f>
        <v>0.0002199692482990878</v>
      </c>
      <c r="N41" s="20">
        <f aca="true" t="shared" si="4" ref="N41:N49">ABS(L41-M41)</f>
        <v>4.829908779239826E-11</v>
      </c>
      <c r="O41" s="1"/>
    </row>
    <row r="42" spans="1:15" ht="12.75">
      <c r="A42" s="1"/>
      <c r="B42" s="146"/>
      <c r="C42" s="4" t="s">
        <v>2</v>
      </c>
      <c r="D42" s="43">
        <v>3.785412</v>
      </c>
      <c r="E42" s="74">
        <v>3.785411784</v>
      </c>
      <c r="F42" s="49">
        <f t="shared" si="2"/>
        <v>2.1600000010835174E-07</v>
      </c>
      <c r="G42" s="28" t="s">
        <v>1</v>
      </c>
      <c r="H42" s="8">
        <v>0.2641721</v>
      </c>
      <c r="I42" s="71">
        <f>1/3.785411784</f>
        <v>0.26417205235814845</v>
      </c>
      <c r="J42" s="33">
        <f t="shared" si="3"/>
        <v>4.7641851574908856E-08</v>
      </c>
      <c r="K42" s="18" t="s">
        <v>1</v>
      </c>
      <c r="L42" s="37">
        <v>0.0002641721</v>
      </c>
      <c r="M42" s="64">
        <f>1/3785.411784</f>
        <v>0.00026417205235814843</v>
      </c>
      <c r="N42" s="20">
        <f t="shared" si="4"/>
        <v>4.7641851564066834E-11</v>
      </c>
      <c r="O42" s="1"/>
    </row>
    <row r="43" spans="1:15" ht="12.75">
      <c r="A43" s="1"/>
      <c r="B43" s="146"/>
      <c r="C43" s="4" t="s">
        <v>3</v>
      </c>
      <c r="D43" s="43">
        <v>3785.412</v>
      </c>
      <c r="E43" s="74">
        <v>3785.411784</v>
      </c>
      <c r="F43" s="49">
        <f t="shared" si="2"/>
        <v>0.00021599999990939978</v>
      </c>
      <c r="G43" s="28" t="s">
        <v>3</v>
      </c>
      <c r="H43" s="8">
        <v>1000</v>
      </c>
      <c r="I43" s="71">
        <v>1000</v>
      </c>
      <c r="J43" s="33">
        <f t="shared" si="3"/>
        <v>0</v>
      </c>
      <c r="K43" s="18" t="s">
        <v>2</v>
      </c>
      <c r="L43" s="8">
        <v>0.001</v>
      </c>
      <c r="M43" s="64">
        <f>1/1000</f>
        <v>0.001</v>
      </c>
      <c r="N43" s="20">
        <f t="shared" si="4"/>
        <v>0</v>
      </c>
      <c r="O43" s="1"/>
    </row>
    <row r="44" spans="1:15" ht="12.75">
      <c r="A44" s="1"/>
      <c r="B44" s="146"/>
      <c r="C44" s="4" t="s">
        <v>25</v>
      </c>
      <c r="D44" s="44">
        <v>133.2278</v>
      </c>
      <c r="E44" s="75">
        <f>(160*3.785411784)/4.54609</f>
        <v>133.2278695406382</v>
      </c>
      <c r="F44" s="50">
        <f t="shared" si="2"/>
        <v>6.95406382078545E-05</v>
      </c>
      <c r="G44" s="28" t="s">
        <v>25</v>
      </c>
      <c r="H44" s="13">
        <v>35.19506</v>
      </c>
      <c r="I44" s="72">
        <f>160/4.54609</f>
        <v>35.19507972785404</v>
      </c>
      <c r="J44" s="36">
        <f t="shared" si="3"/>
        <v>1.9727854045470394E-05</v>
      </c>
      <c r="K44" s="18" t="s">
        <v>25</v>
      </c>
      <c r="L44" s="40">
        <v>0.03519506</v>
      </c>
      <c r="M44" s="63">
        <f>160/4546.09</f>
        <v>0.035195079727854045</v>
      </c>
      <c r="N44" s="24">
        <f t="shared" si="4"/>
        <v>1.972785404480426E-08</v>
      </c>
      <c r="O44" s="1"/>
    </row>
    <row r="45" spans="1:15" ht="12.75">
      <c r="A45" s="1"/>
      <c r="B45" s="146"/>
      <c r="C45" s="4" t="s">
        <v>4</v>
      </c>
      <c r="D45" s="43">
        <v>128</v>
      </c>
      <c r="E45" s="74">
        <v>128</v>
      </c>
      <c r="F45" s="49">
        <f t="shared" si="2"/>
        <v>0</v>
      </c>
      <c r="G45" s="28" t="s">
        <v>4</v>
      </c>
      <c r="H45" s="8">
        <v>33.81402</v>
      </c>
      <c r="I45" s="71">
        <f>128/3.785411784</f>
        <v>33.814022701843</v>
      </c>
      <c r="J45" s="33">
        <f t="shared" si="3"/>
        <v>2.701843001773341E-06</v>
      </c>
      <c r="K45" s="18" t="s">
        <v>4</v>
      </c>
      <c r="L45" s="37">
        <v>0.03381402</v>
      </c>
      <c r="M45" s="64">
        <f>128/3785.411784</f>
        <v>0.033814022701843</v>
      </c>
      <c r="N45" s="20">
        <f t="shared" si="4"/>
        <v>2.70184299933085E-09</v>
      </c>
      <c r="O45" s="1"/>
    </row>
    <row r="46" spans="1:15" ht="12.75">
      <c r="A46" s="1"/>
      <c r="B46" s="146"/>
      <c r="C46" s="4" t="s">
        <v>26</v>
      </c>
      <c r="D46" s="43">
        <v>6.661393</v>
      </c>
      <c r="E46" s="74">
        <f>(8*3.785411784)/4.54609</f>
        <v>6.66139347703191</v>
      </c>
      <c r="F46" s="49">
        <f t="shared" si="2"/>
        <v>4.770319099733911E-07</v>
      </c>
      <c r="G46" s="28" t="s">
        <v>26</v>
      </c>
      <c r="H46" s="8">
        <v>1.759754</v>
      </c>
      <c r="I46" s="71">
        <f>8/4.54609</f>
        <v>1.759753986392702</v>
      </c>
      <c r="J46" s="33">
        <f t="shared" si="3"/>
        <v>1.3607297955076092E-08</v>
      </c>
      <c r="K46" s="18" t="s">
        <v>26</v>
      </c>
      <c r="L46" s="37">
        <v>0.001759754</v>
      </c>
      <c r="M46" s="64">
        <f>8/4546.09</f>
        <v>0.0017597539863927023</v>
      </c>
      <c r="N46" s="20">
        <f t="shared" si="4"/>
        <v>1.3607297797216256E-11</v>
      </c>
      <c r="O46" s="1"/>
    </row>
    <row r="47" spans="1:15" ht="12.75">
      <c r="A47" s="1"/>
      <c r="B47" s="146"/>
      <c r="C47" s="4" t="s">
        <v>5</v>
      </c>
      <c r="D47" s="43">
        <v>8</v>
      </c>
      <c r="E47" s="74">
        <v>8</v>
      </c>
      <c r="F47" s="49">
        <f t="shared" si="2"/>
        <v>0</v>
      </c>
      <c r="G47" s="28" t="s">
        <v>5</v>
      </c>
      <c r="H47" s="8">
        <v>2.113376</v>
      </c>
      <c r="I47" s="71">
        <f>8/3.785411784</f>
        <v>2.1133764188651876</v>
      </c>
      <c r="J47" s="33">
        <f t="shared" si="3"/>
        <v>4.188651874237337E-07</v>
      </c>
      <c r="K47" s="18" t="s">
        <v>5</v>
      </c>
      <c r="L47" s="37">
        <v>0.002113376</v>
      </c>
      <c r="M47" s="64">
        <f>8/3785.411784</f>
        <v>0.0021133764188651875</v>
      </c>
      <c r="N47" s="20">
        <f t="shared" si="4"/>
        <v>4.1886518732658917E-10</v>
      </c>
      <c r="O47" s="1"/>
    </row>
    <row r="48" spans="1:15" s="23" customFormat="1" ht="12.75">
      <c r="A48" s="1"/>
      <c r="B48" s="146"/>
      <c r="C48" s="4" t="s">
        <v>27</v>
      </c>
      <c r="D48" s="45" t="s">
        <v>10</v>
      </c>
      <c r="E48" s="74">
        <f>(4*3.785411784)/4.54609</f>
        <v>3.330696738515955</v>
      </c>
      <c r="F48" s="53" t="s">
        <v>10</v>
      </c>
      <c r="G48" s="28" t="s">
        <v>27</v>
      </c>
      <c r="H48" s="9" t="s">
        <v>10</v>
      </c>
      <c r="I48" s="71">
        <f>4/4.54609</f>
        <v>0.879876993196351</v>
      </c>
      <c r="J48" s="68" t="s">
        <v>10</v>
      </c>
      <c r="K48" s="18" t="s">
        <v>27</v>
      </c>
      <c r="L48" s="9" t="s">
        <v>10</v>
      </c>
      <c r="M48" s="64">
        <f>4/4546.09</f>
        <v>0.0008798769931963511</v>
      </c>
      <c r="N48" s="68" t="s">
        <v>10</v>
      </c>
      <c r="O48" s="1"/>
    </row>
    <row r="49" spans="1:15" s="23" customFormat="1" ht="13.5" thickBot="1">
      <c r="A49" s="1"/>
      <c r="B49" s="147"/>
      <c r="C49" s="5" t="s">
        <v>6</v>
      </c>
      <c r="D49" s="46">
        <v>4</v>
      </c>
      <c r="E49" s="83">
        <v>4</v>
      </c>
      <c r="F49" s="51">
        <f>ABS(D49-E49)</f>
        <v>0</v>
      </c>
      <c r="G49" s="29" t="s">
        <v>6</v>
      </c>
      <c r="H49" s="22">
        <v>1.056688</v>
      </c>
      <c r="I49" s="73">
        <f>4/3.785411784</f>
        <v>1.0566882094325938</v>
      </c>
      <c r="J49" s="34">
        <f t="shared" si="3"/>
        <v>2.0943259371186684E-07</v>
      </c>
      <c r="K49" s="19" t="s">
        <v>6</v>
      </c>
      <c r="L49" s="38">
        <v>0.001056688</v>
      </c>
      <c r="M49" s="70">
        <f>4/3785.411784</f>
        <v>0.0010566882094325937</v>
      </c>
      <c r="N49" s="21">
        <f t="shared" si="4"/>
        <v>2.0943259366329459E-10</v>
      </c>
      <c r="O49" s="1"/>
    </row>
    <row r="50" spans="1:15" s="23" customFormat="1" ht="13.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23" customFormat="1" ht="18" thickBot="1">
      <c r="A51" s="1"/>
      <c r="B51" s="1"/>
      <c r="C51" s="136" t="s">
        <v>13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8"/>
      <c r="O51" s="1"/>
    </row>
    <row r="52" spans="1:15" s="23" customFormat="1" ht="15.75" thickBot="1">
      <c r="A52" s="1"/>
      <c r="B52" s="1"/>
      <c r="C52" s="139" t="s">
        <v>25</v>
      </c>
      <c r="D52" s="140"/>
      <c r="E52" s="140"/>
      <c r="F52" s="141"/>
      <c r="G52" s="139" t="s">
        <v>4</v>
      </c>
      <c r="H52" s="140"/>
      <c r="I52" s="140"/>
      <c r="J52" s="141"/>
      <c r="K52" s="115" t="s">
        <v>26</v>
      </c>
      <c r="L52" s="116"/>
      <c r="M52" s="116"/>
      <c r="N52" s="117"/>
      <c r="O52" s="1"/>
    </row>
    <row r="53" spans="1:15" s="23" customFormat="1" ht="13.5" thickBot="1">
      <c r="A53" s="1"/>
      <c r="B53" s="151" t="s">
        <v>7</v>
      </c>
      <c r="C53" s="11"/>
      <c r="D53" s="12" t="s">
        <v>8</v>
      </c>
      <c r="E53" s="58" t="s">
        <v>9</v>
      </c>
      <c r="F53" s="30" t="s">
        <v>14</v>
      </c>
      <c r="G53" s="11"/>
      <c r="H53" s="12" t="s">
        <v>8</v>
      </c>
      <c r="I53" s="58" t="s">
        <v>9</v>
      </c>
      <c r="J53" s="48"/>
      <c r="K53" s="11"/>
      <c r="L53" s="12" t="s">
        <v>8</v>
      </c>
      <c r="M53" s="58" t="s">
        <v>9</v>
      </c>
      <c r="N53" s="84" t="s">
        <v>14</v>
      </c>
      <c r="O53" s="1"/>
    </row>
    <row r="54" spans="1:15" s="23" customFormat="1" ht="12.75">
      <c r="A54" s="1"/>
      <c r="B54" s="152"/>
      <c r="C54" s="10" t="s">
        <v>23</v>
      </c>
      <c r="D54" s="15" t="s">
        <v>10</v>
      </c>
      <c r="E54" s="76">
        <f>1/8</f>
        <v>0.125</v>
      </c>
      <c r="F54" s="52" t="s">
        <v>10</v>
      </c>
      <c r="G54" s="10" t="s">
        <v>23</v>
      </c>
      <c r="H54" s="15" t="s">
        <v>10</v>
      </c>
      <c r="I54" s="76">
        <f>(2.5*3.785411784)/(16*4.54609)</f>
        <v>0.1301053413482795</v>
      </c>
      <c r="J54" s="52" t="s">
        <v>10</v>
      </c>
      <c r="K54" s="3" t="s">
        <v>23</v>
      </c>
      <c r="L54" s="15" t="s">
        <v>10</v>
      </c>
      <c r="M54" s="76">
        <v>2.5</v>
      </c>
      <c r="N54" s="85" t="s">
        <v>10</v>
      </c>
      <c r="O54" s="1"/>
    </row>
    <row r="55" spans="1:15" s="23" customFormat="1" ht="12.75">
      <c r="A55" s="1"/>
      <c r="B55" s="152"/>
      <c r="C55" s="4" t="s">
        <v>0</v>
      </c>
      <c r="D55" s="8">
        <v>0.120095</v>
      </c>
      <c r="E55" s="74">
        <f>4.54609/(10*3.785411784)</f>
        <v>0.1200949925504855</v>
      </c>
      <c r="F55" s="49">
        <f>ABS(D55-E55)</f>
        <v>7.449514491386644E-09</v>
      </c>
      <c r="G55" s="4" t="s">
        <v>0</v>
      </c>
      <c r="H55" s="8">
        <v>0.125</v>
      </c>
      <c r="I55" s="74">
        <f>1/8</f>
        <v>0.125</v>
      </c>
      <c r="J55" s="49">
        <f>ABS(H55-I55)</f>
        <v>0</v>
      </c>
      <c r="K55" s="4" t="s">
        <v>0</v>
      </c>
      <c r="L55" s="13">
        <v>2.401899</v>
      </c>
      <c r="M55" s="75">
        <f>(2*4.54609)/3.785411784</f>
        <v>2.40189985100971</v>
      </c>
      <c r="N55" s="14">
        <f>ABS(L55-M55)</f>
        <v>8.510097102565339E-07</v>
      </c>
      <c r="O55" s="1"/>
    </row>
    <row r="56" spans="1:15" s="23" customFormat="1" ht="12.75">
      <c r="A56" s="1"/>
      <c r="B56" s="152"/>
      <c r="C56" s="4" t="s">
        <v>24</v>
      </c>
      <c r="D56" s="8">
        <v>0.00625</v>
      </c>
      <c r="E56" s="74">
        <f>1/160</f>
        <v>0.00625</v>
      </c>
      <c r="F56" s="49">
        <f aca="true" t="shared" si="5" ref="F56:F64">ABS(D56-E56)</f>
        <v>0</v>
      </c>
      <c r="G56" s="4" t="s">
        <v>24</v>
      </c>
      <c r="H56" s="13">
        <v>0.006505264</v>
      </c>
      <c r="I56" s="75">
        <f>3.785411784/(128*4.54609)</f>
        <v>0.006505267067413975</v>
      </c>
      <c r="J56" s="50">
        <f aca="true" t="shared" si="6" ref="J56:J62">ABS(H56-I56)</f>
        <v>3.067413974731925E-09</v>
      </c>
      <c r="K56" s="4" t="s">
        <v>24</v>
      </c>
      <c r="L56" s="13">
        <v>0.1249999</v>
      </c>
      <c r="M56" s="75">
        <f>1/8</f>
        <v>0.125</v>
      </c>
      <c r="N56" s="14">
        <f aca="true" t="shared" si="7" ref="N56:N64">ABS(L56-M56)</f>
        <v>1.0000000000287557E-07</v>
      </c>
      <c r="O56" s="1"/>
    </row>
    <row r="57" spans="1:15" s="23" customFormat="1" ht="12.75">
      <c r="A57" s="1"/>
      <c r="B57" s="152"/>
      <c r="C57" s="4" t="s">
        <v>1</v>
      </c>
      <c r="D57" s="13">
        <v>0.0078125</v>
      </c>
      <c r="E57" s="75">
        <f>4.54609/(160*3.785411784)</f>
        <v>0.007505937034405344</v>
      </c>
      <c r="F57" s="50">
        <f t="shared" si="5"/>
        <v>0.0003065629655946561</v>
      </c>
      <c r="G57" s="4" t="s">
        <v>1</v>
      </c>
      <c r="H57" s="8">
        <v>0.0078125</v>
      </c>
      <c r="I57" s="74">
        <f>1/128</f>
        <v>0.0078125</v>
      </c>
      <c r="J57" s="49">
        <f t="shared" si="6"/>
        <v>0</v>
      </c>
      <c r="K57" s="4" t="s">
        <v>1</v>
      </c>
      <c r="L57" s="8">
        <v>0.1501187</v>
      </c>
      <c r="M57" s="74">
        <f>4.54609/(8*3.785411784)</f>
        <v>0.15011874068810688</v>
      </c>
      <c r="N57" s="6">
        <f t="shared" si="7"/>
        <v>4.068810688373503E-08</v>
      </c>
      <c r="O57" s="1"/>
    </row>
    <row r="58" spans="1:15" s="23" customFormat="1" ht="12.75">
      <c r="A58" s="1"/>
      <c r="B58" s="152"/>
      <c r="C58" s="4" t="s">
        <v>2</v>
      </c>
      <c r="D58" s="13">
        <v>0.02841307</v>
      </c>
      <c r="E58" s="75">
        <f>4.54609/160</f>
        <v>0.028413062500000003</v>
      </c>
      <c r="F58" s="50">
        <f t="shared" si="5"/>
        <v>7.499999996052331E-09</v>
      </c>
      <c r="G58" s="4" t="s">
        <v>2</v>
      </c>
      <c r="H58" s="8">
        <v>0.02957353</v>
      </c>
      <c r="I58" s="74">
        <f>3.785411784/128</f>
        <v>0.0295735295625</v>
      </c>
      <c r="J58" s="49">
        <f t="shared" si="6"/>
        <v>4.375000015044428E-10</v>
      </c>
      <c r="K58" s="4" t="s">
        <v>2</v>
      </c>
      <c r="L58" s="8">
        <v>0.568261</v>
      </c>
      <c r="M58" s="74">
        <f>4.54609/8</f>
        <v>0.56826125</v>
      </c>
      <c r="N58" s="6">
        <f t="shared" si="7"/>
        <v>2.500000000349445E-07</v>
      </c>
      <c r="O58" s="1"/>
    </row>
    <row r="59" spans="1:15" s="23" customFormat="1" ht="12.75">
      <c r="A59" s="1"/>
      <c r="B59" s="152"/>
      <c r="C59" s="4" t="s">
        <v>3</v>
      </c>
      <c r="D59" s="13">
        <v>28.41307</v>
      </c>
      <c r="E59" s="75">
        <f>(1000*4.54609)/160</f>
        <v>28.413062500000002</v>
      </c>
      <c r="F59" s="50">
        <f t="shared" si="5"/>
        <v>7.499999998827889E-06</v>
      </c>
      <c r="G59" s="4" t="s">
        <v>3</v>
      </c>
      <c r="H59" s="8">
        <v>29.57353</v>
      </c>
      <c r="I59" s="74">
        <f>(1000*3.785411784)/128</f>
        <v>29.5735295625</v>
      </c>
      <c r="J59" s="49">
        <f t="shared" si="6"/>
        <v>4.3750000244813236E-07</v>
      </c>
      <c r="K59" s="4" t="s">
        <v>3</v>
      </c>
      <c r="L59" s="8">
        <v>568.261</v>
      </c>
      <c r="M59" s="74">
        <f>4.54609*125</f>
        <v>568.26125</v>
      </c>
      <c r="N59" s="6">
        <f t="shared" si="7"/>
        <v>0.0002500000000509317</v>
      </c>
      <c r="O59" s="1"/>
    </row>
    <row r="60" spans="1:15" s="23" customFormat="1" ht="12.75">
      <c r="A60" s="1"/>
      <c r="B60" s="152"/>
      <c r="C60" s="4" t="s">
        <v>4</v>
      </c>
      <c r="D60" s="13">
        <v>0.9607604</v>
      </c>
      <c r="E60" s="75">
        <f>(4*4.54609)/(5*3.785411784)</f>
        <v>0.960759940403884</v>
      </c>
      <c r="F60" s="50">
        <f t="shared" si="5"/>
        <v>4.595961159425954E-07</v>
      </c>
      <c r="G60" s="4" t="s">
        <v>25</v>
      </c>
      <c r="H60" s="13">
        <v>1.040842</v>
      </c>
      <c r="I60" s="75">
        <f>(1.25*3.785411784)/4.54609</f>
        <v>1.040842730786236</v>
      </c>
      <c r="J60" s="50">
        <f t="shared" si="6"/>
        <v>7.307862359695605E-07</v>
      </c>
      <c r="K60" s="4" t="s">
        <v>25</v>
      </c>
      <c r="L60" s="13">
        <v>19.99999</v>
      </c>
      <c r="M60" s="75">
        <v>20</v>
      </c>
      <c r="N60" s="14">
        <f t="shared" si="7"/>
        <v>9.999999999621423E-06</v>
      </c>
      <c r="O60" s="1"/>
    </row>
    <row r="61" spans="1:15" s="23" customFormat="1" ht="12.75">
      <c r="A61" s="1"/>
      <c r="B61" s="152"/>
      <c r="C61" s="4" t="s">
        <v>26</v>
      </c>
      <c r="D61" s="13">
        <v>0.05000002</v>
      </c>
      <c r="E61" s="75">
        <f>1/20</f>
        <v>0.05</v>
      </c>
      <c r="F61" s="50">
        <f t="shared" si="5"/>
        <v>1.9999999996411777E-08</v>
      </c>
      <c r="G61" s="4" t="s">
        <v>26</v>
      </c>
      <c r="H61" s="13">
        <v>0.05204216</v>
      </c>
      <c r="I61" s="75">
        <f>3.785411784/(16*4.54609)</f>
        <v>0.0520421365393118</v>
      </c>
      <c r="J61" s="50">
        <f t="shared" si="6"/>
        <v>2.34606881976962E-08</v>
      </c>
      <c r="K61" s="4" t="s">
        <v>4</v>
      </c>
      <c r="L61" s="13">
        <v>19.21519</v>
      </c>
      <c r="M61" s="75">
        <f>(16*4.54609)/3.785411784</f>
        <v>19.21519880807768</v>
      </c>
      <c r="N61" s="14">
        <f t="shared" si="7"/>
        <v>8.80807768055547E-06</v>
      </c>
      <c r="O61" s="1"/>
    </row>
    <row r="62" spans="1:15" ht="12.75">
      <c r="A62" s="1"/>
      <c r="B62" s="152"/>
      <c r="C62" s="4" t="s">
        <v>5</v>
      </c>
      <c r="D62" s="13">
        <v>0.06004752</v>
      </c>
      <c r="E62" s="75">
        <f>4.54609/(20*3.785411784)</f>
        <v>0.06004749627524275</v>
      </c>
      <c r="F62" s="50">
        <f t="shared" si="5"/>
        <v>2.3724757249043993E-08</v>
      </c>
      <c r="G62" s="4" t="s">
        <v>5</v>
      </c>
      <c r="H62" s="8">
        <v>0.0625</v>
      </c>
      <c r="I62" s="74">
        <f>1/16</f>
        <v>0.0625</v>
      </c>
      <c r="J62" s="49">
        <f t="shared" si="6"/>
        <v>0</v>
      </c>
      <c r="K62" s="4" t="s">
        <v>5</v>
      </c>
      <c r="L62" s="13">
        <v>1.200949</v>
      </c>
      <c r="M62" s="75">
        <f>4.54609/3.785411784</f>
        <v>1.200949925504855</v>
      </c>
      <c r="N62" s="14">
        <f t="shared" si="7"/>
        <v>9.255048549761113E-07</v>
      </c>
      <c r="O62" s="1"/>
    </row>
    <row r="63" spans="1:15" ht="12.75">
      <c r="A63" s="1"/>
      <c r="B63" s="152"/>
      <c r="C63" s="4" t="s">
        <v>27</v>
      </c>
      <c r="D63" s="9" t="s">
        <v>10</v>
      </c>
      <c r="E63" s="74">
        <f>1/40</f>
        <v>0.025</v>
      </c>
      <c r="F63" s="53" t="s">
        <v>10</v>
      </c>
      <c r="G63" s="4" t="s">
        <v>27</v>
      </c>
      <c r="H63" s="9" t="s">
        <v>10</v>
      </c>
      <c r="I63" s="74">
        <f>3.785411784/(32*4.54609)</f>
        <v>0.0260210682696559</v>
      </c>
      <c r="J63" s="53" t="s">
        <v>10</v>
      </c>
      <c r="K63" s="4" t="s">
        <v>27</v>
      </c>
      <c r="L63" s="9" t="s">
        <v>10</v>
      </c>
      <c r="M63" s="74">
        <f>1/2</f>
        <v>0.5</v>
      </c>
      <c r="N63" s="86" t="s">
        <v>10</v>
      </c>
      <c r="O63" s="1"/>
    </row>
    <row r="64" spans="1:15" ht="13.5" thickBot="1">
      <c r="A64" s="1"/>
      <c r="B64" s="153"/>
      <c r="C64" s="5" t="s">
        <v>6</v>
      </c>
      <c r="D64" s="25">
        <v>0.03002376</v>
      </c>
      <c r="E64" s="82">
        <f>4.54609/(40*3.785411784)</f>
        <v>0.030023748137621376</v>
      </c>
      <c r="F64" s="50">
        <f t="shared" si="5"/>
        <v>1.1862378624521996E-08</v>
      </c>
      <c r="G64" s="5" t="s">
        <v>6</v>
      </c>
      <c r="H64" s="22">
        <v>0.03125</v>
      </c>
      <c r="I64" s="83">
        <f>1/32</f>
        <v>0.03125</v>
      </c>
      <c r="J64" s="51">
        <f>ABS(H64-I64)</f>
        <v>0</v>
      </c>
      <c r="K64" s="5" t="s">
        <v>6</v>
      </c>
      <c r="L64" s="25">
        <v>0.6004747</v>
      </c>
      <c r="M64" s="82">
        <f>4.54609/(2*3.785411784)</f>
        <v>0.6004749627524275</v>
      </c>
      <c r="N64" s="87">
        <f t="shared" si="7"/>
        <v>2.6275242748230454E-07</v>
      </c>
      <c r="O64" s="1"/>
    </row>
    <row r="65" spans="1:15" ht="13.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" customHeight="1" thickBot="1">
      <c r="A66" s="1"/>
      <c r="B66" s="1"/>
      <c r="C66" s="136" t="s">
        <v>19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8"/>
      <c r="O66" s="1"/>
    </row>
    <row r="67" spans="1:15" ht="15.75" thickBot="1">
      <c r="A67" s="1"/>
      <c r="B67" s="1"/>
      <c r="C67" s="139" t="s">
        <v>5</v>
      </c>
      <c r="D67" s="140"/>
      <c r="E67" s="140"/>
      <c r="F67" s="141"/>
      <c r="G67" s="139" t="s">
        <v>27</v>
      </c>
      <c r="H67" s="140"/>
      <c r="I67" s="140"/>
      <c r="J67" s="141"/>
      <c r="K67" s="115" t="s">
        <v>6</v>
      </c>
      <c r="L67" s="116"/>
      <c r="M67" s="116"/>
      <c r="N67" s="117"/>
      <c r="O67" s="1"/>
    </row>
    <row r="68" spans="1:15" ht="13.5" thickBot="1">
      <c r="A68" s="1"/>
      <c r="B68" s="1"/>
      <c r="C68" s="11"/>
      <c r="D68" s="12" t="s">
        <v>8</v>
      </c>
      <c r="E68" s="58" t="s">
        <v>9</v>
      </c>
      <c r="F68" s="30" t="s">
        <v>14</v>
      </c>
      <c r="G68" s="11"/>
      <c r="H68" s="12" t="s">
        <v>8</v>
      </c>
      <c r="I68" s="58" t="s">
        <v>9</v>
      </c>
      <c r="J68" s="48" t="s">
        <v>14</v>
      </c>
      <c r="K68" s="11"/>
      <c r="L68" s="12" t="s">
        <v>8</v>
      </c>
      <c r="M68" s="58" t="s">
        <v>9</v>
      </c>
      <c r="N68" s="84" t="s">
        <v>14</v>
      </c>
      <c r="O68" s="1"/>
    </row>
    <row r="69" spans="1:15" ht="12.75">
      <c r="A69" s="1"/>
      <c r="B69" s="142" t="s">
        <v>7</v>
      </c>
      <c r="C69" s="3" t="s">
        <v>23</v>
      </c>
      <c r="D69" s="9" t="s">
        <v>10</v>
      </c>
      <c r="E69" s="93">
        <f>(2.5*3.785411784)/4.54609</f>
        <v>2.081685461572472</v>
      </c>
      <c r="F69" s="52" t="s">
        <v>10</v>
      </c>
      <c r="G69" s="3" t="s">
        <v>23</v>
      </c>
      <c r="H69" s="89" t="s">
        <v>10</v>
      </c>
      <c r="I69" s="88">
        <v>5</v>
      </c>
      <c r="J69" s="52" t="s">
        <v>10</v>
      </c>
      <c r="K69" s="3" t="s">
        <v>23</v>
      </c>
      <c r="L69" s="94" t="s">
        <v>10</v>
      </c>
      <c r="M69" s="88">
        <f>(5*3.785411784)/4.54609</f>
        <v>4.163370923144944</v>
      </c>
      <c r="N69" s="96" t="s">
        <v>10</v>
      </c>
      <c r="O69" s="1"/>
    </row>
    <row r="70" spans="1:15" ht="12.75">
      <c r="A70" s="1"/>
      <c r="B70" s="143"/>
      <c r="C70" s="4" t="s">
        <v>0</v>
      </c>
      <c r="D70" s="8">
        <v>2</v>
      </c>
      <c r="E70" s="74">
        <v>2</v>
      </c>
      <c r="F70" s="49">
        <f>ABS(D70-E70)</f>
        <v>0</v>
      </c>
      <c r="G70" s="4" t="s">
        <v>0</v>
      </c>
      <c r="H70" s="90" t="s">
        <v>10</v>
      </c>
      <c r="I70" s="60">
        <f>(4*4.54609)/3.785411784</f>
        <v>4.80379970201942</v>
      </c>
      <c r="J70" s="53" t="s">
        <v>10</v>
      </c>
      <c r="K70" s="4" t="s">
        <v>0</v>
      </c>
      <c r="L70" s="92">
        <v>4</v>
      </c>
      <c r="M70" s="60">
        <v>4</v>
      </c>
      <c r="N70" s="97">
        <f>ABS(L70-M70)</f>
        <v>0</v>
      </c>
      <c r="O70" s="1"/>
    </row>
    <row r="71" spans="1:15" ht="12.75">
      <c r="A71" s="1"/>
      <c r="B71" s="143"/>
      <c r="C71" s="4" t="s">
        <v>24</v>
      </c>
      <c r="D71" s="13">
        <v>0.1040842</v>
      </c>
      <c r="E71" s="75">
        <f>3.785411784/(8*4.54609)</f>
        <v>0.1040842730786236</v>
      </c>
      <c r="F71" s="50">
        <f aca="true" t="shared" si="8" ref="F71:F77">ABS(D71-E71)</f>
        <v>7.307862359695605E-08</v>
      </c>
      <c r="G71" s="4" t="s">
        <v>24</v>
      </c>
      <c r="H71" s="90" t="s">
        <v>10</v>
      </c>
      <c r="I71" s="60">
        <f>1/4</f>
        <v>0.25</v>
      </c>
      <c r="J71" s="53" t="s">
        <v>10</v>
      </c>
      <c r="K71" s="4" t="s">
        <v>24</v>
      </c>
      <c r="L71" s="92">
        <v>0.2081685</v>
      </c>
      <c r="M71" s="60">
        <f>3.785411784/(4*4.54609)</f>
        <v>0.2081685461572472</v>
      </c>
      <c r="N71" s="97">
        <f aca="true" t="shared" si="9" ref="N71:N78">ABS(L71-M71)</f>
        <v>4.615724719103653E-08</v>
      </c>
      <c r="O71" s="1"/>
    </row>
    <row r="72" spans="1:15" ht="12.75">
      <c r="A72" s="1"/>
      <c r="B72" s="143"/>
      <c r="C72" s="4" t="s">
        <v>1</v>
      </c>
      <c r="D72" s="8">
        <v>0.125</v>
      </c>
      <c r="E72" s="74">
        <f>1/8</f>
        <v>0.125</v>
      </c>
      <c r="F72" s="49">
        <f t="shared" si="8"/>
        <v>0</v>
      </c>
      <c r="G72" s="4" t="s">
        <v>1</v>
      </c>
      <c r="H72" s="90" t="s">
        <v>10</v>
      </c>
      <c r="I72" s="60">
        <f>4.54609/(4*3.785411784)</f>
        <v>0.30023748137621376</v>
      </c>
      <c r="J72" s="53" t="s">
        <v>10</v>
      </c>
      <c r="K72" s="4" t="s">
        <v>1</v>
      </c>
      <c r="L72" s="92">
        <v>0.25</v>
      </c>
      <c r="M72" s="60">
        <f>1/4</f>
        <v>0.25</v>
      </c>
      <c r="N72" s="97">
        <f t="shared" si="9"/>
        <v>0</v>
      </c>
      <c r="O72" s="1"/>
    </row>
    <row r="73" spans="1:15" ht="12.75">
      <c r="A73" s="1"/>
      <c r="B73" s="143"/>
      <c r="C73" s="4" t="s">
        <v>2</v>
      </c>
      <c r="D73" s="8">
        <v>0.4731765</v>
      </c>
      <c r="E73" s="74">
        <f>3.785411784/8</f>
        <v>0.473176473</v>
      </c>
      <c r="F73" s="49">
        <f t="shared" si="8"/>
        <v>2.7000000013543968E-08</v>
      </c>
      <c r="G73" s="4" t="s">
        <v>2</v>
      </c>
      <c r="H73" s="90" t="s">
        <v>10</v>
      </c>
      <c r="I73" s="60">
        <f>4.54609/4</f>
        <v>1.1365225</v>
      </c>
      <c r="J73" s="53" t="s">
        <v>10</v>
      </c>
      <c r="K73" s="4" t="s">
        <v>2</v>
      </c>
      <c r="L73" s="92">
        <v>0.9463529</v>
      </c>
      <c r="M73" s="60">
        <f>3.785411784/4</f>
        <v>0.946352946</v>
      </c>
      <c r="N73" s="97">
        <f t="shared" si="9"/>
        <v>4.599999992027648E-08</v>
      </c>
      <c r="O73" s="1"/>
    </row>
    <row r="74" spans="1:15" ht="12.75">
      <c r="A74" s="1"/>
      <c r="B74" s="143"/>
      <c r="C74" s="4" t="s">
        <v>3</v>
      </c>
      <c r="D74" s="8">
        <v>473.1765</v>
      </c>
      <c r="E74" s="74">
        <f>3.785411784*125</f>
        <v>473.176473</v>
      </c>
      <c r="F74" s="49">
        <f t="shared" si="8"/>
        <v>2.6999999988674972E-05</v>
      </c>
      <c r="G74" s="4" t="s">
        <v>3</v>
      </c>
      <c r="H74" s="90" t="s">
        <v>10</v>
      </c>
      <c r="I74" s="60">
        <f>4.54609*250</f>
        <v>1136.5225</v>
      </c>
      <c r="J74" s="53" t="s">
        <v>10</v>
      </c>
      <c r="K74" s="4" t="s">
        <v>3</v>
      </c>
      <c r="L74" s="92">
        <v>946.3529</v>
      </c>
      <c r="M74" s="60">
        <f>3.785411784*250</f>
        <v>946.352946</v>
      </c>
      <c r="N74" s="97">
        <f t="shared" si="9"/>
        <v>4.5999999997548E-05</v>
      </c>
      <c r="O74" s="1"/>
    </row>
    <row r="75" spans="1:15" ht="12.75">
      <c r="A75" s="1"/>
      <c r="B75" s="143"/>
      <c r="C75" s="4" t="s">
        <v>25</v>
      </c>
      <c r="D75" s="8">
        <v>16.65348</v>
      </c>
      <c r="E75" s="74">
        <f>(20*3.785411784)/4.54609</f>
        <v>16.653483692579776</v>
      </c>
      <c r="F75" s="49">
        <f t="shared" si="8"/>
        <v>3.692579777947458E-06</v>
      </c>
      <c r="G75" s="4" t="s">
        <v>25</v>
      </c>
      <c r="H75" s="90" t="s">
        <v>10</v>
      </c>
      <c r="I75" s="60">
        <v>40</v>
      </c>
      <c r="J75" s="53" t="s">
        <v>10</v>
      </c>
      <c r="K75" s="4" t="s">
        <v>25</v>
      </c>
      <c r="L75" s="99">
        <v>33.30695</v>
      </c>
      <c r="M75" s="62">
        <f>(40*3.785411784)/4.54609</f>
        <v>33.30696738515955</v>
      </c>
      <c r="N75" s="100">
        <f t="shared" si="9"/>
        <v>1.7385159551963625E-05</v>
      </c>
      <c r="O75" s="1"/>
    </row>
    <row r="76" spans="1:15" ht="12.75">
      <c r="A76" s="1"/>
      <c r="B76" s="143"/>
      <c r="C76" s="4" t="s">
        <v>4</v>
      </c>
      <c r="D76" s="8">
        <v>16</v>
      </c>
      <c r="E76" s="74">
        <v>16</v>
      </c>
      <c r="F76" s="49">
        <f t="shared" si="8"/>
        <v>0</v>
      </c>
      <c r="G76" s="4" t="s">
        <v>4</v>
      </c>
      <c r="H76" s="90" t="s">
        <v>10</v>
      </c>
      <c r="I76" s="60">
        <f>(32*4.54609)/3.785411784</f>
        <v>38.43039761615536</v>
      </c>
      <c r="J76" s="53" t="s">
        <v>10</v>
      </c>
      <c r="K76" s="4" t="s">
        <v>4</v>
      </c>
      <c r="L76" s="92">
        <v>32</v>
      </c>
      <c r="M76" s="60">
        <v>32</v>
      </c>
      <c r="N76" s="97">
        <f t="shared" si="9"/>
        <v>0</v>
      </c>
      <c r="O76" s="1"/>
    </row>
    <row r="77" spans="1:15" ht="12.75">
      <c r="A77" s="1"/>
      <c r="B77" s="143"/>
      <c r="C77" s="4" t="s">
        <v>26</v>
      </c>
      <c r="D77" s="8">
        <v>0.8326742</v>
      </c>
      <c r="E77" s="74">
        <f>3.785411784/4.54609</f>
        <v>0.8326741846289888</v>
      </c>
      <c r="F77" s="49">
        <f t="shared" si="8"/>
        <v>1.5371011241605004E-08</v>
      </c>
      <c r="G77" s="4" t="s">
        <v>26</v>
      </c>
      <c r="H77" s="90" t="s">
        <v>10</v>
      </c>
      <c r="I77" s="60">
        <v>2</v>
      </c>
      <c r="J77" s="53" t="s">
        <v>10</v>
      </c>
      <c r="K77" s="4" t="s">
        <v>26</v>
      </c>
      <c r="L77" s="92">
        <v>1.665348</v>
      </c>
      <c r="M77" s="60">
        <f>(2*3.785411784)/4.54609</f>
        <v>1.6653483692579776</v>
      </c>
      <c r="N77" s="97">
        <f t="shared" si="9"/>
        <v>3.6925797752829226E-07</v>
      </c>
      <c r="O77" s="1"/>
    </row>
    <row r="78" spans="1:15" ht="12.75">
      <c r="A78" s="1"/>
      <c r="B78" s="143"/>
      <c r="C78" s="4" t="s">
        <v>27</v>
      </c>
      <c r="D78" s="9" t="s">
        <v>10</v>
      </c>
      <c r="E78" s="74">
        <f>3.785411784/(2*4.54609)</f>
        <v>0.4163370923144944</v>
      </c>
      <c r="F78" s="53" t="s">
        <v>10</v>
      </c>
      <c r="G78" s="4" t="s">
        <v>5</v>
      </c>
      <c r="H78" s="90" t="s">
        <v>10</v>
      </c>
      <c r="I78" s="60">
        <f>(2*4.54609)/3.785411784</f>
        <v>2.40189985100971</v>
      </c>
      <c r="J78" s="53" t="s">
        <v>10</v>
      </c>
      <c r="K78" s="4" t="s">
        <v>5</v>
      </c>
      <c r="L78" s="92">
        <v>2</v>
      </c>
      <c r="M78" s="60">
        <v>2</v>
      </c>
      <c r="N78" s="97">
        <f t="shared" si="9"/>
        <v>0</v>
      </c>
      <c r="O78" s="1"/>
    </row>
    <row r="79" spans="1:15" ht="13.5" thickBot="1">
      <c r="A79" s="1"/>
      <c r="B79" s="144"/>
      <c r="C79" s="5" t="s">
        <v>6</v>
      </c>
      <c r="D79" s="8">
        <v>0.5</v>
      </c>
      <c r="E79" s="83">
        <f>1/2</f>
        <v>0.5</v>
      </c>
      <c r="F79" s="51">
        <f>ABS(D79-E79)</f>
        <v>0</v>
      </c>
      <c r="G79" s="5" t="s">
        <v>6</v>
      </c>
      <c r="H79" s="91" t="s">
        <v>10</v>
      </c>
      <c r="I79" s="61">
        <f>4.54609/3.785411784</f>
        <v>1.200949925504855</v>
      </c>
      <c r="J79" s="54" t="s">
        <v>10</v>
      </c>
      <c r="K79" s="5" t="s">
        <v>27</v>
      </c>
      <c r="L79" s="95" t="s">
        <v>10</v>
      </c>
      <c r="M79" s="61">
        <f>3.785411784/4.54609</f>
        <v>0.8326741846289888</v>
      </c>
      <c r="N79" s="98" t="s">
        <v>10</v>
      </c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sheetProtection sheet="1" objects="1" scenarios="1"/>
  <mergeCells count="32">
    <mergeCell ref="B53:B64"/>
    <mergeCell ref="B2:I2"/>
    <mergeCell ref="B9:I9"/>
    <mergeCell ref="B10:I10"/>
    <mergeCell ref="B11:I11"/>
    <mergeCell ref="C21:N21"/>
    <mergeCell ref="K37:N37"/>
    <mergeCell ref="C52:F52"/>
    <mergeCell ref="G52:J52"/>
    <mergeCell ref="B69:B79"/>
    <mergeCell ref="B24:B34"/>
    <mergeCell ref="G22:I22"/>
    <mergeCell ref="C22:E22"/>
    <mergeCell ref="C66:N66"/>
    <mergeCell ref="C67:F67"/>
    <mergeCell ref="B39:B49"/>
    <mergeCell ref="K22:N22"/>
    <mergeCell ref="C36:N36"/>
    <mergeCell ref="G37:J37"/>
    <mergeCell ref="C51:N51"/>
    <mergeCell ref="K52:N52"/>
    <mergeCell ref="G67:J67"/>
    <mergeCell ref="K67:N67"/>
    <mergeCell ref="C37:F37"/>
    <mergeCell ref="B3:I3"/>
    <mergeCell ref="B5:I5"/>
    <mergeCell ref="B6:I6"/>
    <mergeCell ref="B13:I13"/>
    <mergeCell ref="B4:I4"/>
    <mergeCell ref="B14:I14"/>
    <mergeCell ref="B15:I15"/>
    <mergeCell ref="B7:I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New Brunswick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Boyd, BScCS</dc:creator>
  <cp:keywords/>
  <dc:description/>
  <cp:lastModifiedBy>Glen Boyd, BScCS</cp:lastModifiedBy>
  <dcterms:created xsi:type="dcterms:W3CDTF">2011-12-26T21:15:53Z</dcterms:created>
  <dcterms:modified xsi:type="dcterms:W3CDTF">2012-04-03T17:46:06Z</dcterms:modified>
  <cp:category/>
  <cp:version/>
  <cp:contentType/>
  <cp:contentStatus/>
</cp:coreProperties>
</file>